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<sst xmlns="http://schemas.openxmlformats.org/spreadsheetml/2006/main" count="4311" uniqueCount="1000">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</sst>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51039</v>
      </c>
      <c r="D6" s="675">
        <f aca="true" t="shared" si="0" ref="D6:D15">C6-E6</f>
        <v>0</v>
      </c>
      <c r="E6" s="674">
        <f>'1-Баланс'!G95</f>
        <v>51039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6798</v>
      </c>
      <c r="D7" s="675">
        <f t="shared" si="0"/>
        <v>6148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180</v>
      </c>
      <c r="D8" s="675">
        <f t="shared" si="0"/>
        <v>0</v>
      </c>
      <c r="E8" s="674">
        <f>ABS('2-Отчет за доходите'!C44)-ABS('2-Отчет за доходите'!G44)</f>
        <v>180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75</v>
      </c>
      <c r="D10" s="675">
        <f t="shared" si="0"/>
        <v>0</v>
      </c>
      <c r="E10" s="674">
        <f>'3-Отчет за паричния поток'!C46</f>
        <v>75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6798</v>
      </c>
      <c r="D11" s="675">
        <f t="shared" si="0"/>
        <v>0</v>
      </c>
      <c r="E11" s="674">
        <f>'4-Отчет за собствения капитал'!L34</f>
        <v>6798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0.0677710843373494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0.0264783759929391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0.004068624126941073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0.0035267148651031564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1.0634696755994357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0.5503054674812466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0.5503054674812466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0.005800015466707911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0.005800015466707911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0.06046945791498759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0.05203863712063324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0.8216122598929358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6.5079435127978815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0.8668077352612708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2513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0.36966754927919976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0.8332228116710876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17.604854755272584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43923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43923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2633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4325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83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7041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7116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51039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5968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6841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6148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6798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11310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31310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31310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11466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1461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1310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12931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12931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51039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285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47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122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2333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38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2371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2836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2836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3016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111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2545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2656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3016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3016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128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-134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-62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-593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-677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-1864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5220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3356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1910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-1659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-2882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-2631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48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6841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6841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7021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7021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6618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6618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180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6798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6798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43562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43562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43562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43562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360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360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43922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43922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43922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43922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2633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4325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7041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7041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2633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4325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7041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7041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11310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11310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31310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11466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11466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1456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1310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36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12931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44241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11466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11466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1456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1310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36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12931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12931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11310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11310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31310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31310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G62" sqref="G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43923</v>
      </c>
      <c r="D21" s="477">
        <v>42000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5968</v>
      </c>
      <c r="H28" s="596">
        <f>SUM(H29:H31)</f>
        <v>3939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6841</v>
      </c>
      <c r="H29" s="196">
        <v>4812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180</v>
      </c>
      <c r="H32" s="196">
        <v>2029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6148</v>
      </c>
      <c r="H34" s="598">
        <f>H28+H32+H33</f>
        <v>5968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6798</v>
      </c>
      <c r="H37" s="600">
        <f>H26+H18+H34</f>
        <v>6618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11310</v>
      </c>
      <c r="H45" s="196">
        <v>20915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31310</v>
      </c>
      <c r="H50" s="596">
        <f>SUM(H44:H49)</f>
        <v>40915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43923</v>
      </c>
      <c r="D56" s="602">
        <f>D20+D21+D22+D28+D33+D46+D52+D54+D55</f>
        <v>42000</v>
      </c>
      <c r="E56" s="100" t="s">
        <v>850</v>
      </c>
      <c r="F56" s="99" t="s">
        <v>172</v>
      </c>
      <c r="G56" s="599">
        <f>G50+G52+G53+G54+G55</f>
        <v>31310</v>
      </c>
      <c r="H56" s="600">
        <f>H50+H52+H53+H54+H55</f>
        <v>40915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11466</v>
      </c>
      <c r="H59" s="196">
        <v>2159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1461</v>
      </c>
      <c r="H61" s="596">
        <f>SUM(H62:H68)</f>
        <v>839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5</v>
      </c>
      <c r="H62" s="196">
        <v>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110</v>
      </c>
      <c r="H64" s="196">
        <v>109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1310</v>
      </c>
      <c r="H65" s="196">
        <v>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36</v>
      </c>
      <c r="H68" s="196">
        <v>717</v>
      </c>
    </row>
    <row r="69" spans="1:8" ht="15.75">
      <c r="A69" s="89" t="s">
        <v>210</v>
      </c>
      <c r="B69" s="91" t="s">
        <v>211</v>
      </c>
      <c r="C69" s="197">
        <v>2633</v>
      </c>
      <c r="D69" s="196">
        <v>4135</v>
      </c>
      <c r="E69" s="201" t="s">
        <v>79</v>
      </c>
      <c r="F69" s="93" t="s">
        <v>216</v>
      </c>
      <c r="G69" s="197">
        <v>4</v>
      </c>
      <c r="H69" s="196">
        <v>6</v>
      </c>
    </row>
    <row r="70" spans="1:8" ht="15.75">
      <c r="A70" s="89" t="s">
        <v>214</v>
      </c>
      <c r="B70" s="91" t="s">
        <v>215</v>
      </c>
      <c r="C70" s="197">
        <v>4325</v>
      </c>
      <c r="D70" s="196">
        <v>4333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12931</v>
      </c>
      <c r="H71" s="598">
        <f>H59+H60+H61+H69+H70</f>
        <v>3004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83</v>
      </c>
      <c r="D75" s="196">
        <v>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7041</v>
      </c>
      <c r="D76" s="598">
        <f>SUM(D68:D75)</f>
        <v>8510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12931</v>
      </c>
      <c r="H79" s="600">
        <f>H71+H73+H75+H77</f>
        <v>3004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75</v>
      </c>
      <c r="D89" s="196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7116</v>
      </c>
      <c r="D94" s="602">
        <f>D65+D76+D85+D92+D93</f>
        <v>8537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51039</v>
      </c>
      <c r="D95" s="604">
        <f>D94+D56</f>
        <v>50537</v>
      </c>
      <c r="E95" s="229" t="s">
        <v>942</v>
      </c>
      <c r="F95" s="489" t="s">
        <v>268</v>
      </c>
      <c r="G95" s="603">
        <f>G37+G40+G56+G79</f>
        <v>51039</v>
      </c>
      <c r="H95" s="604">
        <f>H37+H40+H56+H79</f>
        <v>50537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43997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Силвия Душкова Николова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7">
      <selection activeCell="D25" sqref="D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285</v>
      </c>
      <c r="D13" s="317">
        <v>360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111</v>
      </c>
      <c r="H14" s="317">
        <v>109</v>
      </c>
    </row>
    <row r="15" spans="1:8" ht="15.75">
      <c r="A15" s="194" t="s">
        <v>287</v>
      </c>
      <c r="B15" s="190" t="s">
        <v>288</v>
      </c>
      <c r="C15" s="316">
        <v>47</v>
      </c>
      <c r="D15" s="317">
        <v>59</v>
      </c>
      <c r="E15" s="245" t="s">
        <v>79</v>
      </c>
      <c r="F15" s="240" t="s">
        <v>289</v>
      </c>
      <c r="G15" s="316">
        <v>2545</v>
      </c>
      <c r="H15" s="317">
        <v>4110</v>
      </c>
    </row>
    <row r="16" spans="1:8" ht="15.75">
      <c r="A16" s="194" t="s">
        <v>290</v>
      </c>
      <c r="B16" s="190" t="s">
        <v>291</v>
      </c>
      <c r="C16" s="316">
        <v>11</v>
      </c>
      <c r="D16" s="317">
        <v>11</v>
      </c>
      <c r="E16" s="236" t="s">
        <v>52</v>
      </c>
      <c r="F16" s="264" t="s">
        <v>292</v>
      </c>
      <c r="G16" s="628">
        <f>SUM(G12:G15)</f>
        <v>2656</v>
      </c>
      <c r="H16" s="629">
        <f>SUM(H12:H15)</f>
        <v>4219</v>
      </c>
    </row>
    <row r="17" spans="1:8" ht="31.5">
      <c r="A17" s="194" t="s">
        <v>293</v>
      </c>
      <c r="B17" s="190" t="s">
        <v>294</v>
      </c>
      <c r="C17" s="316"/>
      <c r="D17" s="317">
        <v>1789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122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465</v>
      </c>
      <c r="D22" s="629">
        <f>SUM(D12:D18)+D19</f>
        <v>2221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360</v>
      </c>
      <c r="H24" s="317">
        <v>2256</v>
      </c>
    </row>
    <row r="25" spans="1:8" ht="31.5">
      <c r="A25" s="194" t="s">
        <v>316</v>
      </c>
      <c r="B25" s="237" t="s">
        <v>317</v>
      </c>
      <c r="C25" s="316">
        <v>2333</v>
      </c>
      <c r="D25" s="317">
        <v>2224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360</v>
      </c>
      <c r="H27" s="629">
        <f>SUM(H22:H26)</f>
        <v>2256</v>
      </c>
    </row>
    <row r="28" spans="1:8" ht="15.75">
      <c r="A28" s="194" t="s">
        <v>79</v>
      </c>
      <c r="B28" s="237" t="s">
        <v>327</v>
      </c>
      <c r="C28" s="316">
        <v>38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2371</v>
      </c>
      <c r="D29" s="629">
        <f>SUM(D25:D28)</f>
        <v>2225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2836</v>
      </c>
      <c r="D31" s="635">
        <f>D29+D22</f>
        <v>4446</v>
      </c>
      <c r="E31" s="251" t="s">
        <v>824</v>
      </c>
      <c r="F31" s="266" t="s">
        <v>331</v>
      </c>
      <c r="G31" s="253">
        <f>G16+G18+G27</f>
        <v>3016</v>
      </c>
      <c r="H31" s="254">
        <f>H16+H18+H27</f>
        <v>6475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180</v>
      </c>
      <c r="D33" s="244">
        <f>IF((H31-D31)&gt;0,H31-D31,0)</f>
        <v>2029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2836</v>
      </c>
      <c r="D36" s="637">
        <f>D31-D34+D35</f>
        <v>4446</v>
      </c>
      <c r="E36" s="262" t="s">
        <v>346</v>
      </c>
      <c r="F36" s="256" t="s">
        <v>347</v>
      </c>
      <c r="G36" s="267">
        <f>G35-G34+G31</f>
        <v>3016</v>
      </c>
      <c r="H36" s="268">
        <f>H35-H34+H31</f>
        <v>6475</v>
      </c>
    </row>
    <row r="37" spans="1:8" ht="15.75">
      <c r="A37" s="261" t="s">
        <v>348</v>
      </c>
      <c r="B37" s="231" t="s">
        <v>349</v>
      </c>
      <c r="C37" s="634">
        <f>IF((G36-C36)&gt;0,G36-C36,0)</f>
        <v>180</v>
      </c>
      <c r="D37" s="635">
        <f>IF((H36-D36)&gt;0,H36-D36,0)</f>
        <v>2029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180</v>
      </c>
      <c r="D42" s="244">
        <f>+IF((H36-D36-D38)&gt;0,H36-D36-D38,0)</f>
        <v>2029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180</v>
      </c>
      <c r="D44" s="268">
        <f>IF(H42=0,IF(D42-D43&gt;0,D42-D43+H43,0),IF(H42-H43&lt;0,H43-H42+D42,0))</f>
        <v>2029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3016</v>
      </c>
      <c r="D45" s="631">
        <f>D36+D38+D42</f>
        <v>6475</v>
      </c>
      <c r="E45" s="270" t="s">
        <v>373</v>
      </c>
      <c r="F45" s="272" t="s">
        <v>374</v>
      </c>
      <c r="G45" s="630">
        <f>G42+G36</f>
        <v>3016</v>
      </c>
      <c r="H45" s="631">
        <f>H42+H36</f>
        <v>6475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43997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Силвия Душкова Николова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128</v>
      </c>
      <c r="D11" s="196">
        <v>121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-134</v>
      </c>
      <c r="D12" s="196">
        <v>-641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-62</v>
      </c>
      <c r="D14" s="196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-593</v>
      </c>
      <c r="D15" s="196">
        <v>700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-677</v>
      </c>
      <c r="D21" s="659">
        <f>SUM(D11:D20)</f>
        <v>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-1864</v>
      </c>
      <c r="D23" s="196">
        <v>-10069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5220</v>
      </c>
      <c r="D32" s="196">
        <v>246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3356</v>
      </c>
      <c r="D33" s="659">
        <f>SUM(D23:D32)</f>
        <v>-9717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1910</v>
      </c>
      <c r="D37" s="196">
        <v>13008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-1659</v>
      </c>
      <c r="D38" s="196">
        <v>-1816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-2882</v>
      </c>
      <c r="D40" s="196">
        <v>-1561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-2631</v>
      </c>
      <c r="D43" s="661">
        <f>SUM(D35:D42)</f>
        <v>9629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48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</v>
      </c>
      <c r="D46" s="311">
        <f>D45+D44</f>
        <v>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43997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Силвия Душкова Николова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7">
      <selection activeCell="J45" sqref="J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6841</v>
      </c>
      <c r="J13" s="584">
        <f>'1-Баланс'!H30+'1-Баланс'!H33</f>
        <v>-873</v>
      </c>
      <c r="K13" s="585"/>
      <c r="L13" s="584">
        <f>SUM(C13:K13)</f>
        <v>6618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6841</v>
      </c>
      <c r="J17" s="653">
        <f t="shared" si="2"/>
        <v>-873</v>
      </c>
      <c r="K17" s="653">
        <f t="shared" si="2"/>
        <v>0</v>
      </c>
      <c r="L17" s="584">
        <f t="shared" si="1"/>
        <v>6618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180</v>
      </c>
      <c r="J18" s="584">
        <f>+'1-Баланс'!G33</f>
        <v>0</v>
      </c>
      <c r="K18" s="585"/>
      <c r="L18" s="584">
        <f t="shared" si="1"/>
        <v>180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7021</v>
      </c>
      <c r="J31" s="653">
        <f t="shared" si="6"/>
        <v>-873</v>
      </c>
      <c r="K31" s="653">
        <f t="shared" si="6"/>
        <v>0</v>
      </c>
      <c r="L31" s="584">
        <f t="shared" si="1"/>
        <v>6798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7021</v>
      </c>
      <c r="J34" s="587">
        <f t="shared" si="7"/>
        <v>-873</v>
      </c>
      <c r="K34" s="587">
        <f t="shared" si="7"/>
        <v>0</v>
      </c>
      <c r="L34" s="651">
        <f t="shared" si="1"/>
        <v>6798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43997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Силвия Душкова Николова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3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43997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Силвия Душкова Николова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43562</v>
      </c>
      <c r="E20" s="328">
        <v>0</v>
      </c>
      <c r="F20" s="328"/>
      <c r="G20" s="701">
        <f>D20+E20-F20</f>
        <v>43562</v>
      </c>
      <c r="H20" s="328">
        <v>360</v>
      </c>
      <c r="I20" s="328">
        <v>0</v>
      </c>
      <c r="J20" s="701">
        <f>G20+H20-I20</f>
        <v>43922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43922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43562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43562</v>
      </c>
      <c r="H42" s="349">
        <f t="shared" si="11"/>
        <v>360</v>
      </c>
      <c r="I42" s="349">
        <f t="shared" si="11"/>
        <v>0</v>
      </c>
      <c r="J42" s="349">
        <f t="shared" si="11"/>
        <v>43922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43922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43997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Силвия Душкова Николова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37">
      <selection activeCell="C79" sqref="C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2633</v>
      </c>
      <c r="D30" s="368">
        <f>C30</f>
        <v>2633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4325</v>
      </c>
      <c r="D31" s="368">
        <f>C31</f>
        <v>4325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</v>
      </c>
      <c r="D40" s="362">
        <f>SUM(D41:D44)</f>
        <v>83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83</v>
      </c>
      <c r="D44" s="368">
        <f>C44</f>
        <v>83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7041</v>
      </c>
      <c r="D45" s="438">
        <f>D26+D30+D31+D33+D32+D34+D35+D40</f>
        <v>7041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7041</v>
      </c>
      <c r="D46" s="444">
        <f>D45+D23+D21+D11</f>
        <v>7041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11310</v>
      </c>
      <c r="D58" s="138">
        <f>D59+D61</f>
        <v>0</v>
      </c>
      <c r="E58" s="136">
        <f t="shared" si="1"/>
        <v>11310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11310</v>
      </c>
      <c r="D59" s="197"/>
      <c r="E59" s="136">
        <f t="shared" si="1"/>
        <v>11310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31310</v>
      </c>
      <c r="D68" s="435">
        <f>D54+D58+D63+D64+D65+D66</f>
        <v>0</v>
      </c>
      <c r="E68" s="436">
        <f t="shared" si="1"/>
        <v>31310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5</v>
      </c>
      <c r="D76" s="197">
        <f>C76</f>
        <v>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11466</v>
      </c>
      <c r="D77" s="138">
        <f>D78+D80</f>
        <v>11466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11466</v>
      </c>
      <c r="D78" s="197">
        <f>C78</f>
        <v>11466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>C84</f>
        <v>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1456</v>
      </c>
      <c r="D87" s="134">
        <f>SUM(D88:D92)+D96</f>
        <v>1456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110</v>
      </c>
      <c r="D89" s="197">
        <f>'1-Баланс'!G64</f>
        <v>110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1310</v>
      </c>
      <c r="D90" s="197">
        <f>C90</f>
        <v>1310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</v>
      </c>
      <c r="D92" s="138">
        <f>SUM(D93:D95)</f>
        <v>36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36</v>
      </c>
      <c r="D95" s="197">
        <f>C95</f>
        <v>36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4</v>
      </c>
      <c r="D97" s="197">
        <f>'1-Баланс'!G69</f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12931</v>
      </c>
      <c r="D98" s="433">
        <f>D87+D82+D77+D73+D97</f>
        <v>12931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44241</v>
      </c>
      <c r="D99" s="427">
        <f>D98+D70+D68</f>
        <v>12931</v>
      </c>
      <c r="E99" s="427">
        <f>E98+E70+E68</f>
        <v>31310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43997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Силвия Душкова Николова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43997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Силвия Душкова Николова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2018-01-30T11:24:05Z</cp:lastPrinted>
  <dcterms:created xsi:type="dcterms:W3CDTF">2006-09-16T00:00:00Z</dcterms:created>
  <dcterms:modified xsi:type="dcterms:W3CDTF">2020-07-29T07:27:21Z</dcterms:modified>
  <cp:category/>
  <cp:version/>
  <cp:contentType/>
  <cp:contentStatus/>
</cp:coreProperties>
</file>